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21" activeTab="5"/>
  </bookViews>
  <sheets>
    <sheet name="INDICE" sheetId="1" r:id="rId1"/>
    <sheet name="CÁLCULO DEL TAMAÑO DE MUESTRA" sheetId="2" r:id="rId2"/>
    <sheet name="ERROR MUESTRAS INFINITAS" sheetId="3" r:id="rId3"/>
    <sheet name="ERROR MUESTRAS FINITAS" sheetId="4" r:id="rId4"/>
    <sheet name="ESTRATIFICADO" sheetId="5" r:id="rId5"/>
    <sheet name="Estrat prop y no prop" sheetId="6" r:id="rId6"/>
  </sheets>
  <definedNames/>
  <calcPr fullCalcOnLoad="1"/>
</workbook>
</file>

<file path=xl/sharedStrings.xml><?xml version="1.0" encoding="utf-8"?>
<sst xmlns="http://schemas.openxmlformats.org/spreadsheetml/2006/main" count="74" uniqueCount="52">
  <si>
    <t>CÁLCULO DEL ERROR MUESTRAL PARA POBLACIONES FINITAS</t>
  </si>
  <si>
    <t>CÁLCULO DEL ERROR MUESTRAL PARA POBLACIONES INFINITAS</t>
  </si>
  <si>
    <t>CÁLCULO DEL TAMAÑO DE UNA MUESTRA</t>
  </si>
  <si>
    <t>Volver a página de inicio</t>
  </si>
  <si>
    <t>Elegir una opción</t>
  </si>
  <si>
    <t>MARGEN DE ERROR MÁXIMO ADMITIDO</t>
  </si>
  <si>
    <t>TAMAÑO DE LA POBLACIÓN</t>
  </si>
  <si>
    <t>Tamaño para un nivel de confianza del 95% ………………………………………</t>
  </si>
  <si>
    <t>Tamaño para un nivel de confianza del 97% ………………………………………</t>
  </si>
  <si>
    <t>Tamaño para un nivel de confianza del 99% ………………………………………</t>
  </si>
  <si>
    <t>(Para la estimación de proporciones, bajo el supuesto de que p=q=50%)</t>
  </si>
  <si>
    <t>CÁLCULO DEL TAMAÑO ÓPTIMO DE UNA MUESTRA</t>
  </si>
  <si>
    <t>Error máximo para un nivel de confianza del 95% ………………………………………………….</t>
  </si>
  <si>
    <t>Error máximo para un nivel del confianza del 97%.....................................................................</t>
  </si>
  <si>
    <t>Error máximo para un nivel del confianza del 99%.....................................................................</t>
  </si>
  <si>
    <t>Tamaño muestral realmente logrado………………………………………………………………</t>
  </si>
  <si>
    <t>Tamaño de la población………………………………………………………………………………</t>
  </si>
  <si>
    <t>(Para la estimación de proporciones supuesto p=q=50%)</t>
  </si>
  <si>
    <t>Error máximo para un nivel del confianza del 95%.....................................................................</t>
  </si>
  <si>
    <t>Introduzca el tamaño muestral efectivamente alcanzado………………………</t>
  </si>
  <si>
    <t>MUESTREO ALEATORIO ESTRATIFICADO</t>
  </si>
  <si>
    <t>Estrato</t>
  </si>
  <si>
    <t>Identificación</t>
  </si>
  <si>
    <t>MUESTREO ALEATORIO ESTRATIFICADO CON AFIJACIÓN PROPORCIONAL</t>
  </si>
  <si>
    <t>Nº sujetos en el estrato</t>
  </si>
  <si>
    <t>Proporción</t>
  </si>
  <si>
    <t>Tamaño de la muestra que se desea obtener……………….</t>
  </si>
  <si>
    <t>Tamaño de la población objetivo…………………………..…</t>
  </si>
  <si>
    <t>Número de estratos a considerar……………………...……..</t>
  </si>
  <si>
    <t>Muestra del estrato</t>
  </si>
  <si>
    <t>Afijación simple:  elegir de cada estrato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</si>
  <si>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</si>
  <si>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</si>
  <si>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</si>
  <si>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</si>
  <si>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</si>
  <si>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</si>
  <si>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</si>
  <si>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</si>
  <si>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</si>
  <si>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</si>
  <si>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 xml:space="preserve">Muestra deseada </t>
  </si>
  <si>
    <t>Estratos</t>
  </si>
  <si>
    <t>Población</t>
  </si>
  <si>
    <t>Muestra estratificada proporcional</t>
  </si>
  <si>
    <t>Frecuencia</t>
  </si>
  <si>
    <t>Porcentaje</t>
  </si>
  <si>
    <t>Estrato 1</t>
  </si>
  <si>
    <t>Estrato 2</t>
  </si>
  <si>
    <t>Estrato 3</t>
  </si>
  <si>
    <t>Estrato 4</t>
  </si>
  <si>
    <t>TOTAL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</si>
</sst>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%"/>
    <numFmt numFmtId="189" formatCode="0.000000"/>
    <numFmt numFmtId="190" formatCode="0.000"/>
    <numFmt numFmtId="191" formatCode="0.00000"/>
    <numFmt numFmtId="192" formatCode="0.0000"/>
    <numFmt numFmtId="193" formatCode="0.0"/>
  </numFmts>
  <fonts count="5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u val="single"/>
      <sz val="14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6"/>
      <color indexed="17"/>
      <name val="Calibri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57"/>
      <name val="Arial"/>
      <family val="2"/>
    </font>
    <font>
      <b/>
      <sz val="18"/>
      <color indexed="57"/>
      <name val="Arial"/>
      <family val="2"/>
    </font>
    <font>
      <sz val="12"/>
      <color indexed="57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6"/>
      <color rgb="FF006100"/>
      <name val="Calibri"/>
      <family val="2"/>
    </font>
    <font>
      <b/>
      <sz val="12"/>
      <color rgb="FFFF0000"/>
      <name val="Arial"/>
      <family val="2"/>
    </font>
    <font>
      <sz val="10"/>
      <color theme="6" tint="-0.24997000396251678"/>
      <name val="Arial"/>
      <family val="2"/>
    </font>
    <font>
      <b/>
      <sz val="18"/>
      <color theme="6" tint="-0.24997000396251678"/>
      <name val="Arial"/>
      <family val="2"/>
    </font>
    <font>
      <sz val="12"/>
      <color theme="6" tint="-0.24997000396251678"/>
      <name val="Arial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9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" fontId="11" fillId="33" borderId="0" xfId="0" applyNumberFormat="1" applyFont="1" applyFill="1" applyBorder="1" applyAlignment="1">
      <alignment horizontal="center"/>
    </xf>
    <xf numFmtId="3" fontId="11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3" fontId="37" fillId="20" borderId="11" xfId="33" applyNumberFormat="1" applyBorder="1" applyAlignment="1" applyProtection="1">
      <alignment horizontal="center" vertical="center"/>
      <protection locked="0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3" fontId="37" fillId="20" borderId="0" xfId="33" applyNumberFormat="1" applyBorder="1" applyAlignment="1" applyProtection="1">
      <alignment horizontal="center" vertical="center"/>
      <protection locked="0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0" fontId="0" fillId="33" borderId="0" xfId="55" applyNumberFormat="1" applyFont="1" applyFill="1" applyBorder="1" applyAlignment="1">
      <alignment horizontal="center" vertical="center"/>
    </xf>
    <xf numFmtId="0" fontId="0" fillId="33" borderId="15" xfId="0" applyFill="1" applyBorder="1" applyAlignment="1" applyProtection="1">
      <alignment vertical="center"/>
      <protection locked="0"/>
    </xf>
    <xf numFmtId="0" fontId="3" fillId="33" borderId="16" xfId="46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10" fillId="33" borderId="0" xfId="46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/>
      <protection locked="0"/>
    </xf>
    <xf numFmtId="0" fontId="9" fillId="33" borderId="15" xfId="0" applyFont="1" applyFill="1" applyBorder="1" applyAlignment="1" applyProtection="1">
      <alignment/>
      <protection locked="0"/>
    </xf>
    <xf numFmtId="0" fontId="9" fillId="33" borderId="16" xfId="0" applyFont="1" applyFill="1" applyBorder="1" applyAlignment="1" applyProtection="1">
      <alignment/>
      <protection locked="0"/>
    </xf>
    <xf numFmtId="0" fontId="9" fillId="33" borderId="17" xfId="0" applyFont="1" applyFill="1" applyBorder="1" applyAlignment="1" applyProtection="1">
      <alignment/>
      <protection locked="0"/>
    </xf>
    <xf numFmtId="0" fontId="8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vertical="center"/>
    </xf>
    <xf numFmtId="188" fontId="9" fillId="33" borderId="0" xfId="55" applyNumberFormat="1" applyFont="1" applyFill="1" applyBorder="1" applyAlignment="1">
      <alignment horizontal="center"/>
    </xf>
    <xf numFmtId="3" fontId="37" fillId="20" borderId="18" xfId="33" applyNumberFormat="1" applyBorder="1" applyAlignment="1" applyProtection="1">
      <alignment horizontal="center"/>
      <protection locked="0"/>
    </xf>
    <xf numFmtId="188" fontId="52" fillId="20" borderId="19" xfId="33" applyNumberFormat="1" applyFont="1" applyBorder="1" applyAlignment="1" applyProtection="1">
      <alignment horizontal="center"/>
      <protection locked="0"/>
    </xf>
    <xf numFmtId="3" fontId="52" fillId="20" borderId="20" xfId="33" applyNumberFormat="1" applyFont="1" applyBorder="1" applyAlignment="1" applyProtection="1">
      <alignment horizontal="center"/>
      <protection locked="0"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3" fontId="37" fillId="20" borderId="0" xfId="33" applyNumberFormat="1" applyAlignment="1" applyProtection="1">
      <alignment/>
      <protection locked="0"/>
    </xf>
    <xf numFmtId="0" fontId="9" fillId="35" borderId="0" xfId="0" applyFont="1" applyFill="1" applyAlignment="1" applyProtection="1">
      <alignment/>
      <protection locked="0"/>
    </xf>
    <xf numFmtId="0" fontId="9" fillId="35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8" fillId="36" borderId="0" xfId="0" applyFont="1" applyFill="1" applyAlignment="1">
      <alignment horizontal="center"/>
    </xf>
    <xf numFmtId="0" fontId="8" fillId="36" borderId="0" xfId="0" applyFont="1" applyFill="1" applyAlignment="1">
      <alignment horizontal="center" vertical="center" wrapText="1"/>
    </xf>
    <xf numFmtId="3" fontId="37" fillId="20" borderId="0" xfId="33" applyNumberFormat="1" applyAlignment="1" applyProtection="1">
      <alignment horizontal="center"/>
      <protection locked="0"/>
    </xf>
    <xf numFmtId="3" fontId="37" fillId="20" borderId="16" xfId="33" applyNumberFormat="1" applyBorder="1" applyAlignment="1" applyProtection="1">
      <alignment horizontal="center"/>
      <protection locked="0"/>
    </xf>
    <xf numFmtId="0" fontId="9" fillId="35" borderId="0" xfId="0" applyFont="1" applyFill="1" applyAlignment="1">
      <alignment horizontal="center" wrapText="1"/>
    </xf>
    <xf numFmtId="0" fontId="53" fillId="35" borderId="0" xfId="0" applyFont="1" applyFill="1" applyAlignment="1">
      <alignment/>
    </xf>
    <xf numFmtId="188" fontId="9" fillId="35" borderId="0" xfId="55" applyNumberFormat="1" applyFont="1" applyFill="1" applyAlignment="1">
      <alignment horizontal="center"/>
    </xf>
    <xf numFmtId="188" fontId="9" fillId="35" borderId="16" xfId="55" applyNumberFormat="1" applyFont="1" applyFill="1" applyBorder="1" applyAlignment="1">
      <alignment horizontal="center"/>
    </xf>
    <xf numFmtId="0" fontId="9" fillId="35" borderId="0" xfId="0" applyFont="1" applyFill="1" applyAlignment="1">
      <alignment/>
    </xf>
    <xf numFmtId="1" fontId="9" fillId="35" borderId="0" xfId="0" applyNumberFormat="1" applyFont="1" applyFill="1" applyAlignment="1">
      <alignment horizontal="center"/>
    </xf>
    <xf numFmtId="1" fontId="9" fillId="35" borderId="16" xfId="0" applyNumberFormat="1" applyFont="1" applyFill="1" applyBorder="1" applyAlignment="1">
      <alignment horizontal="center"/>
    </xf>
    <xf numFmtId="0" fontId="37" fillId="20" borderId="0" xfId="33" applyAlignment="1" applyProtection="1">
      <alignment horizontal="center"/>
      <protection locked="0"/>
    </xf>
    <xf numFmtId="0" fontId="7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0" fontId="4" fillId="37" borderId="0" xfId="0" applyFont="1" applyFill="1" applyAlignment="1" applyProtection="1">
      <alignment/>
      <protection locked="0"/>
    </xf>
    <xf numFmtId="0" fontId="5" fillId="37" borderId="0" xfId="46" applyFont="1" applyFill="1" applyAlignment="1" applyProtection="1">
      <alignment horizontal="left"/>
      <protection locked="0"/>
    </xf>
    <xf numFmtId="0" fontId="5" fillId="37" borderId="0" xfId="46" applyFont="1" applyFill="1" applyAlignment="1" applyProtection="1">
      <alignment/>
      <protection/>
    </xf>
    <xf numFmtId="0" fontId="54" fillId="33" borderId="0" xfId="0" applyFont="1" applyFill="1" applyAlignment="1">
      <alignment/>
    </xf>
    <xf numFmtId="0" fontId="5" fillId="37" borderId="0" xfId="46" applyFont="1" applyFill="1" applyAlignment="1" applyProtection="1">
      <alignment horizontal="left"/>
      <protection locked="0"/>
    </xf>
    <xf numFmtId="0" fontId="55" fillId="33" borderId="0" xfId="0" applyFont="1" applyFill="1" applyAlignment="1">
      <alignment horizontal="left"/>
    </xf>
    <xf numFmtId="0" fontId="56" fillId="35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57" fillId="33" borderId="0" xfId="0" applyFont="1" applyFill="1" applyAlignment="1">
      <alignment horizontal="left"/>
    </xf>
    <xf numFmtId="0" fontId="0" fillId="33" borderId="1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55" applyFont="1" applyAlignment="1">
      <alignment horizontal="center"/>
    </xf>
    <xf numFmtId="1" fontId="0" fillId="0" borderId="0" xfId="0" applyNumberFormat="1" applyAlignment="1">
      <alignment/>
    </xf>
    <xf numFmtId="10" fontId="0" fillId="0" borderId="0" xfId="55" applyNumberFormat="1" applyFont="1" applyAlignment="1">
      <alignment/>
    </xf>
    <xf numFmtId="0" fontId="0" fillId="0" borderId="0" xfId="0" applyFill="1" applyAlignment="1">
      <alignment/>
    </xf>
    <xf numFmtId="0" fontId="0" fillId="10" borderId="0" xfId="0" applyFill="1" applyAlignment="1">
      <alignment/>
    </xf>
    <xf numFmtId="1" fontId="0" fillId="10" borderId="0" xfId="0" applyNumberFormat="1" applyFill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3</xdr:col>
      <xdr:colOff>447675</xdr:colOff>
      <xdr:row>4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2143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190500</xdr:rowOff>
    </xdr:from>
    <xdr:to>
      <xdr:col>1</xdr:col>
      <xdr:colOff>1600200</xdr:colOff>
      <xdr:row>0</xdr:row>
      <xdr:rowOff>752475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143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2171700</xdr:colOff>
      <xdr:row>0</xdr:row>
      <xdr:rowOff>714375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2143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133350</xdr:rowOff>
    </xdr:from>
    <xdr:to>
      <xdr:col>1</xdr:col>
      <xdr:colOff>2105025</xdr:colOff>
      <xdr:row>0</xdr:row>
      <xdr:rowOff>695325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3350"/>
          <a:ext cx="2143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1</xdr:col>
      <xdr:colOff>1524000</xdr:colOff>
      <xdr:row>3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2143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114300</xdr:rowOff>
    </xdr:from>
    <xdr:to>
      <xdr:col>3</xdr:col>
      <xdr:colOff>114300</xdr:colOff>
      <xdr:row>4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2143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1"/>
  <sheetViews>
    <sheetView zoomScalePageLayoutView="0" workbookViewId="0" topLeftCell="A7">
      <selection activeCell="E38" sqref="E38"/>
    </sheetView>
  </sheetViews>
  <sheetFormatPr defaultColWidth="11.421875" defaultRowHeight="12.75"/>
  <cols>
    <col min="1" max="1" width="4.8515625" style="1" customWidth="1"/>
    <col min="2" max="2" width="14.140625" style="1" customWidth="1"/>
    <col min="3" max="16384" width="11.421875" style="1" customWidth="1"/>
  </cols>
  <sheetData>
    <row r="2" ht="12.75"/>
    <row r="3" ht="12.75"/>
    <row r="4" spans="2:10" ht="18">
      <c r="B4" s="2"/>
      <c r="C4" s="2"/>
      <c r="D4" s="2"/>
      <c r="E4" s="2"/>
      <c r="F4" s="2"/>
      <c r="G4" s="2"/>
      <c r="H4" s="2"/>
      <c r="I4" s="2"/>
      <c r="J4" s="2"/>
    </row>
    <row r="5" spans="2:10" ht="18">
      <c r="B5" s="2"/>
      <c r="C5" s="2"/>
      <c r="D5" s="2"/>
      <c r="E5" s="2"/>
      <c r="F5" s="2"/>
      <c r="G5" s="2"/>
      <c r="H5" s="2"/>
      <c r="I5" s="2"/>
      <c r="J5" s="2"/>
    </row>
    <row r="6" spans="2:10" ht="18">
      <c r="B6" s="2"/>
      <c r="C6" s="2"/>
      <c r="D6" s="2"/>
      <c r="E6" s="2"/>
      <c r="F6" s="2"/>
      <c r="G6" s="2"/>
      <c r="H6" s="2"/>
      <c r="I6" s="2"/>
      <c r="J6" s="2"/>
    </row>
    <row r="7" spans="2:10" ht="25.5">
      <c r="B7" s="4" t="s">
        <v>4</v>
      </c>
      <c r="C7" s="2"/>
      <c r="E7" s="2"/>
      <c r="F7" s="2"/>
      <c r="G7" s="2"/>
      <c r="H7" s="2"/>
      <c r="I7" s="2"/>
      <c r="J7" s="2"/>
    </row>
    <row r="8" spans="1:10" ht="25.5">
      <c r="A8" s="72"/>
      <c r="B8" s="73"/>
      <c r="C8" s="73"/>
      <c r="D8" s="73"/>
      <c r="E8" s="73"/>
      <c r="F8" s="73"/>
      <c r="G8" s="73"/>
      <c r="H8" s="73"/>
      <c r="I8" s="73"/>
      <c r="J8" s="73"/>
    </row>
    <row r="9" spans="1:10" ht="18">
      <c r="A9" s="74"/>
      <c r="B9" s="75"/>
      <c r="C9" s="75"/>
      <c r="D9" s="75"/>
      <c r="E9" s="75"/>
      <c r="F9" s="75"/>
      <c r="G9" s="75"/>
      <c r="H9" s="75"/>
      <c r="I9" s="75"/>
      <c r="J9" s="75"/>
    </row>
    <row r="10" spans="1:10" ht="18">
      <c r="A10" s="75"/>
      <c r="B10" s="79" t="s">
        <v>2</v>
      </c>
      <c r="C10" s="79"/>
      <c r="D10" s="79"/>
      <c r="E10" s="79"/>
      <c r="F10" s="79"/>
      <c r="G10" s="79"/>
      <c r="H10" s="79"/>
      <c r="I10" s="75"/>
      <c r="J10" s="75"/>
    </row>
    <row r="11" spans="1:10" ht="18">
      <c r="A11" s="75"/>
      <c r="B11" s="75"/>
      <c r="C11" s="75"/>
      <c r="D11" s="75"/>
      <c r="E11" s="75"/>
      <c r="F11" s="75"/>
      <c r="G11" s="75"/>
      <c r="H11" s="75"/>
      <c r="I11" s="75"/>
      <c r="J11" s="75"/>
    </row>
    <row r="12" spans="1:10" ht="18">
      <c r="A12" s="75"/>
      <c r="B12" s="75"/>
      <c r="C12" s="75"/>
      <c r="D12" s="75"/>
      <c r="E12" s="75"/>
      <c r="F12" s="75"/>
      <c r="G12" s="75"/>
      <c r="H12" s="75"/>
      <c r="I12" s="75"/>
      <c r="J12" s="75"/>
    </row>
    <row r="13" spans="1:10" ht="18">
      <c r="A13" s="75"/>
      <c r="B13" s="79" t="s">
        <v>1</v>
      </c>
      <c r="C13" s="79"/>
      <c r="D13" s="79"/>
      <c r="E13" s="79"/>
      <c r="F13" s="79"/>
      <c r="G13" s="79"/>
      <c r="H13" s="79"/>
      <c r="I13" s="79"/>
      <c r="J13" s="79"/>
    </row>
    <row r="14" spans="1:10" ht="18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18">
      <c r="A15" s="75"/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8">
      <c r="A16" s="75"/>
      <c r="B16" s="79" t="s">
        <v>0</v>
      </c>
      <c r="C16" s="79"/>
      <c r="D16" s="79"/>
      <c r="E16" s="79"/>
      <c r="F16" s="79"/>
      <c r="G16" s="79"/>
      <c r="H16" s="79"/>
      <c r="I16" s="79"/>
      <c r="J16" s="79"/>
    </row>
    <row r="17" spans="1:10" ht="18">
      <c r="A17" s="75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8">
      <c r="A18" s="75"/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18">
      <c r="A19" s="75"/>
      <c r="B19" s="77" t="s">
        <v>20</v>
      </c>
      <c r="C19" s="77"/>
      <c r="D19" s="77"/>
      <c r="E19" s="76"/>
      <c r="F19" s="76"/>
      <c r="G19" s="76"/>
      <c r="H19" s="76"/>
      <c r="I19" s="76"/>
      <c r="J19" s="76"/>
    </row>
    <row r="20" spans="1:10" ht="18">
      <c r="A20" s="75"/>
      <c r="B20" s="75"/>
      <c r="C20" s="75"/>
      <c r="D20" s="75"/>
      <c r="E20" s="75"/>
      <c r="F20" s="75"/>
      <c r="G20" s="75"/>
      <c r="H20" s="75"/>
      <c r="I20" s="75"/>
      <c r="J20" s="75"/>
    </row>
    <row r="21" spans="1:10" ht="18">
      <c r="A21" s="75"/>
      <c r="B21" s="75"/>
      <c r="C21" s="75"/>
      <c r="D21" s="75"/>
      <c r="E21" s="75"/>
      <c r="F21" s="75"/>
      <c r="G21" s="75"/>
      <c r="H21" s="75"/>
      <c r="I21" s="75"/>
      <c r="J21" s="75"/>
    </row>
  </sheetData>
  <sheetProtection/>
  <mergeCells count="3">
    <mergeCell ref="B16:J16"/>
    <mergeCell ref="B10:H10"/>
    <mergeCell ref="B13:J13"/>
  </mergeCells>
  <hyperlinks>
    <hyperlink ref="B10:H10" location="'CÁLCULO DEL TAMAÑO DE MUESTRA'!A1" display="'CÁLCULO DEL TAMAÑO DE MUESTRA'!A1"/>
    <hyperlink ref="B13:J13" location="'ERROR MUESTRAS INFINITAS'!A1" display="'ERROR MUESTRAS INFINITAS'!A1"/>
    <hyperlink ref="B16:J16" location="'ERROR MUESTRAS FINITAS'!A1" display="'ERROR MUESTRAS FINITAS'!A1"/>
    <hyperlink ref="E19" location="%23ESTRATIFICADO!A1" display="%23ESTRATIFICADO!A1"/>
    <hyperlink ref="B19" location="ESTRATIFICADO!A1" display="MUESTREO ALEATORIO ESTRATIFICADO"/>
    <hyperlink ref="D19" location="ESTRATIFICADO!A1" display="ESTRATIFICADO!A1"/>
  </hyperlinks>
  <printOptions/>
  <pageMargins left="0.75" right="0.75" top="1" bottom="1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10.7109375" style="1" customWidth="1"/>
    <col min="2" max="2" width="69.00390625" style="1" customWidth="1"/>
    <col min="3" max="16384" width="11.421875" style="1" customWidth="1"/>
  </cols>
  <sheetData>
    <row r="1" ht="84.75" customHeight="1"/>
    <row r="2" spans="1:3" ht="23.25">
      <c r="A2" s="78"/>
      <c r="B2" s="80" t="s">
        <v>11</v>
      </c>
      <c r="C2" s="80"/>
    </row>
    <row r="3" spans="1:3" ht="18" customHeight="1">
      <c r="A3" s="81" t="s">
        <v>10</v>
      </c>
      <c r="B3" s="81"/>
      <c r="C3" s="81"/>
    </row>
    <row r="4" spans="2:3" ht="21" thickBot="1">
      <c r="B4" s="3"/>
      <c r="C4" s="3"/>
    </row>
    <row r="5" spans="1:4" ht="21" thickBot="1">
      <c r="A5" s="6"/>
      <c r="B5" s="7"/>
      <c r="C5" s="8"/>
      <c r="D5" s="9"/>
    </row>
    <row r="6" spans="1:4" s="5" customFormat="1" ht="25.5" customHeight="1">
      <c r="A6" s="10"/>
      <c r="B6" s="11" t="s">
        <v>5</v>
      </c>
      <c r="C6" s="51">
        <v>0.05</v>
      </c>
      <c r="D6" s="12"/>
    </row>
    <row r="7" spans="1:4" s="5" customFormat="1" ht="25.5" customHeight="1" thickBot="1">
      <c r="A7" s="10"/>
      <c r="B7" s="11" t="s">
        <v>6</v>
      </c>
      <c r="C7" s="52">
        <v>0</v>
      </c>
      <c r="D7" s="12"/>
    </row>
    <row r="8" spans="1:4" s="5" customFormat="1" ht="25.5" customHeight="1">
      <c r="A8" s="10"/>
      <c r="B8" s="13"/>
      <c r="C8" s="13"/>
      <c r="D8" s="12"/>
    </row>
    <row r="9" spans="1:4" s="5" customFormat="1" ht="25.5" customHeight="1">
      <c r="A9" s="10"/>
      <c r="B9" s="13" t="s">
        <v>7</v>
      </c>
      <c r="C9" s="14">
        <f>(C7)/(1+((C6*C6)*(C7-1))/(1.96*1.96*0.5*0.5))</f>
        <v>0</v>
      </c>
      <c r="D9" s="12"/>
    </row>
    <row r="10" spans="1:4" s="5" customFormat="1" ht="25.5" customHeight="1">
      <c r="A10" s="10"/>
      <c r="B10" s="13" t="s">
        <v>8</v>
      </c>
      <c r="C10" s="14">
        <f>(C7)/(1+((C6*C6)*(C7-1))/(2.17*2.17*0.5*0.5))</f>
        <v>0</v>
      </c>
      <c r="D10" s="12"/>
    </row>
    <row r="11" spans="1:4" s="5" customFormat="1" ht="25.5" customHeight="1">
      <c r="A11" s="10"/>
      <c r="B11" s="13" t="s">
        <v>9</v>
      </c>
      <c r="C11" s="15">
        <f>(C7)/(1+((C6*C6)*(C7-1))/(2.58*2.58*0.5*0.5))</f>
        <v>0</v>
      </c>
      <c r="D11" s="12"/>
    </row>
    <row r="12" spans="1:4" s="5" customFormat="1" ht="25.5" customHeight="1">
      <c r="A12" s="10"/>
      <c r="B12" s="16"/>
      <c r="C12" s="16"/>
      <c r="D12" s="12"/>
    </row>
    <row r="13" spans="1:4" s="5" customFormat="1" ht="25.5" customHeight="1">
      <c r="A13" s="35"/>
      <c r="B13" s="36" t="s">
        <v>3</v>
      </c>
      <c r="C13" s="37"/>
      <c r="D13" s="38"/>
    </row>
    <row r="14" spans="1:4" s="5" customFormat="1" ht="25.5" customHeight="1" thickBot="1">
      <c r="A14" s="39"/>
      <c r="B14" s="40"/>
      <c r="C14" s="40"/>
      <c r="D14" s="41"/>
    </row>
  </sheetData>
  <sheetProtection password="ED07" sheet="1" formatCells="0" formatColumns="0" formatRows="0" insertColumns="0" insertRows="0" insertHyperlinks="0" deleteColumns="0" deleteRows="0" sort="0" autoFilter="0" pivotTables="0"/>
  <mergeCells count="2">
    <mergeCell ref="B2:C2"/>
    <mergeCell ref="A3:C3"/>
  </mergeCells>
  <hyperlinks>
    <hyperlink ref="B13" location="INDICE!A1" display="INDICE!A1"/>
  </hyperlinks>
  <printOptions/>
  <pageMargins left="0.75" right="0.75" top="1" bottom="1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2.00390625" style="1" customWidth="1"/>
    <col min="2" max="2" width="71.421875" style="1" customWidth="1"/>
    <col min="3" max="16384" width="11.421875" style="1" customWidth="1"/>
  </cols>
  <sheetData>
    <row r="1" ht="90.75" customHeight="1"/>
    <row r="2" spans="2:5" ht="20.25">
      <c r="B2" s="82" t="s">
        <v>1</v>
      </c>
      <c r="C2" s="82"/>
      <c r="D2" s="82"/>
      <c r="E2" s="82"/>
    </row>
    <row r="3" spans="2:5" s="5" customFormat="1" ht="25.5" customHeight="1" thickBot="1">
      <c r="B3" s="42"/>
      <c r="C3" s="42"/>
      <c r="D3" s="42"/>
      <c r="E3" s="42"/>
    </row>
    <row r="4" spans="1:5" s="5" customFormat="1" ht="25.5" customHeight="1" thickBot="1">
      <c r="A4" s="43"/>
      <c r="B4" s="44"/>
      <c r="C4" s="44"/>
      <c r="D4" s="44"/>
      <c r="E4" s="45"/>
    </row>
    <row r="5" spans="1:5" s="5" customFormat="1" ht="25.5" customHeight="1" thickBot="1">
      <c r="A5" s="10"/>
      <c r="B5" s="46" t="s">
        <v>19</v>
      </c>
      <c r="C5" s="50">
        <v>88</v>
      </c>
      <c r="D5" s="16"/>
      <c r="E5" s="12"/>
    </row>
    <row r="6" spans="1:5" s="5" customFormat="1" ht="25.5" customHeight="1">
      <c r="A6" s="10"/>
      <c r="B6" s="16"/>
      <c r="C6" s="47"/>
      <c r="D6" s="16"/>
      <c r="E6" s="12"/>
    </row>
    <row r="7" spans="1:5" s="5" customFormat="1" ht="25.5" customHeight="1">
      <c r="A7" s="10"/>
      <c r="B7" s="48" t="s">
        <v>18</v>
      </c>
      <c r="C7" s="49">
        <f>SQRT((1.96*1.96*0.5*0.5)/C5)</f>
        <v>0.10446835101424912</v>
      </c>
      <c r="D7" s="16"/>
      <c r="E7" s="12"/>
    </row>
    <row r="8" spans="1:5" s="5" customFormat="1" ht="25.5" customHeight="1">
      <c r="A8" s="10"/>
      <c r="B8" s="48" t="s">
        <v>13</v>
      </c>
      <c r="C8" s="49">
        <f>SQRT((2.17*2.17*0.5*0.5)/C5)</f>
        <v>0.11566138862291866</v>
      </c>
      <c r="D8" s="16"/>
      <c r="E8" s="12"/>
    </row>
    <row r="9" spans="1:5" s="5" customFormat="1" ht="25.5" customHeight="1">
      <c r="A9" s="10"/>
      <c r="B9" s="48" t="s">
        <v>14</v>
      </c>
      <c r="C9" s="49">
        <f>SQRT((2.58*2.58*0.5*0.5)/C5)</f>
        <v>0.13751446204936874</v>
      </c>
      <c r="D9" s="16"/>
      <c r="E9" s="12"/>
    </row>
    <row r="10" spans="1:5" s="5" customFormat="1" ht="25.5" customHeight="1">
      <c r="A10" s="10"/>
      <c r="B10" s="16"/>
      <c r="C10" s="16"/>
      <c r="D10" s="16"/>
      <c r="E10" s="12"/>
    </row>
    <row r="11" spans="1:5" s="5" customFormat="1" ht="25.5" customHeight="1">
      <c r="A11" s="10"/>
      <c r="B11" s="36" t="s">
        <v>3</v>
      </c>
      <c r="C11" s="37"/>
      <c r="D11" s="37"/>
      <c r="E11" s="38"/>
    </row>
    <row r="12" spans="1:5" s="5" customFormat="1" ht="25.5" customHeight="1" thickBot="1">
      <c r="A12" s="17"/>
      <c r="B12" s="18"/>
      <c r="C12" s="18"/>
      <c r="D12" s="18"/>
      <c r="E12" s="19"/>
    </row>
    <row r="13" s="5" customFormat="1" ht="25.5" customHeight="1"/>
  </sheetData>
  <sheetProtection password="F209" sheet="1" formatCells="0" formatColumns="0" formatRows="0" insertColumns="0" insertRows="0" insertHyperlinks="0" deleteColumns="0" deleteRows="0" sort="0" autoFilter="0" pivotTables="0"/>
  <mergeCells count="1">
    <mergeCell ref="B2:E2"/>
  </mergeCells>
  <hyperlinks>
    <hyperlink ref="B11" location="INDICE!A1" display="INDICE!A1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1.28515625" style="1" customWidth="1"/>
    <col min="2" max="2" width="69.140625" style="1" customWidth="1"/>
    <col min="3" max="3" width="11.421875" style="1" customWidth="1"/>
    <col min="4" max="4" width="7.28125" style="1" customWidth="1"/>
    <col min="5" max="5" width="1.28515625" style="1" customWidth="1"/>
    <col min="6" max="6" width="1.1484375" style="1" customWidth="1"/>
    <col min="7" max="16384" width="11.421875" style="1" customWidth="1"/>
  </cols>
  <sheetData>
    <row r="1" ht="93.75" customHeight="1"/>
    <row r="2" spans="2:6" ht="20.25">
      <c r="B2" s="83" t="s">
        <v>0</v>
      </c>
      <c r="C2" s="83"/>
      <c r="D2" s="83"/>
      <c r="E2" s="83"/>
      <c r="F2" s="83"/>
    </row>
    <row r="3" spans="2:4" s="20" customFormat="1" ht="25.5" customHeight="1" thickBot="1">
      <c r="B3" s="84" t="s">
        <v>17</v>
      </c>
      <c r="C3" s="84"/>
      <c r="D3" s="84"/>
    </row>
    <row r="4" spans="1:4" s="20" customFormat="1" ht="25.5" customHeight="1">
      <c r="A4" s="21"/>
      <c r="B4" s="22" t="s">
        <v>15</v>
      </c>
      <c r="C4" s="23">
        <v>88</v>
      </c>
      <c r="D4" s="24"/>
    </row>
    <row r="5" spans="1:4" s="20" customFormat="1" ht="25.5" customHeight="1">
      <c r="A5" s="25"/>
      <c r="B5" s="26" t="s">
        <v>16</v>
      </c>
      <c r="C5" s="27">
        <v>1000</v>
      </c>
      <c r="D5" s="28"/>
    </row>
    <row r="6" spans="1:4" s="20" customFormat="1" ht="25.5" customHeight="1">
      <c r="A6" s="25"/>
      <c r="B6" s="29" t="s">
        <v>12</v>
      </c>
      <c r="C6" s="30">
        <f>1.96*(SQRT(((0.5*0.5)/C4)*((C5-C4)/(C5-1))))</f>
        <v>0.09981582821977465</v>
      </c>
      <c r="D6" s="28"/>
    </row>
    <row r="7" spans="1:4" s="20" customFormat="1" ht="25.5" customHeight="1">
      <c r="A7" s="25"/>
      <c r="B7" s="29" t="s">
        <v>13</v>
      </c>
      <c r="C7" s="30">
        <f>2.17*(SQRT(((0.5*0.5)/C4)*((C5-C4)/(C5-1))))</f>
        <v>0.11051038124332194</v>
      </c>
      <c r="D7" s="28"/>
    </row>
    <row r="8" spans="1:4" s="20" customFormat="1" ht="25.5" customHeight="1">
      <c r="A8" s="25"/>
      <c r="B8" s="29" t="s">
        <v>14</v>
      </c>
      <c r="C8" s="30">
        <f>2.58*(SQRT(((0.5*0.5)/C4)*((C5-C4)/(C5-1))))</f>
        <v>0.13139022286072377</v>
      </c>
      <c r="D8" s="28"/>
    </row>
    <row r="9" spans="1:4" s="20" customFormat="1" ht="25.5" customHeight="1">
      <c r="A9" s="25"/>
      <c r="B9" s="29"/>
      <c r="C9" s="29"/>
      <c r="D9" s="28"/>
    </row>
    <row r="10" spans="1:4" s="20" customFormat="1" ht="25.5" customHeight="1" thickBot="1">
      <c r="A10" s="31"/>
      <c r="B10" s="32" t="s">
        <v>3</v>
      </c>
      <c r="C10" s="33"/>
      <c r="D10" s="34"/>
    </row>
    <row r="11" s="20" customFormat="1" ht="25.5" customHeight="1"/>
    <row r="12" s="20" customFormat="1" ht="25.5" customHeight="1"/>
    <row r="13" s="20" customFormat="1" ht="25.5" customHeight="1"/>
    <row r="14" s="20" customFormat="1" ht="25.5" customHeight="1"/>
    <row r="15" s="20" customFormat="1" ht="25.5" customHeight="1"/>
    <row r="16" s="20" customFormat="1" ht="25.5" customHeight="1"/>
    <row r="17" s="20" customFormat="1" ht="25.5" customHeight="1"/>
  </sheetData>
  <sheetProtection password="ED07" sheet="1" formatCells="0" formatColumns="0" formatRows="0" insertColumns="0" insertRows="0" insertHyperlinks="0" deleteColumns="0" deleteRows="0" sort="0" autoFilter="0" pivotTables="0"/>
  <mergeCells count="2">
    <mergeCell ref="B2:F2"/>
    <mergeCell ref="B3:D3"/>
  </mergeCells>
  <hyperlinks>
    <hyperlink ref="B10" location="INDICE!A1" display="INDICE!A1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7">
      <selection activeCell="J26" sqref="J26"/>
    </sheetView>
  </sheetViews>
  <sheetFormatPr defaultColWidth="10.8515625" defaultRowHeight="12.75"/>
  <cols>
    <col min="1" max="1" width="9.7109375" style="54" customWidth="1"/>
    <col min="2" max="2" width="23.28125" style="54" customWidth="1"/>
    <col min="3" max="3" width="14.28125" style="54" customWidth="1"/>
    <col min="4" max="4" width="13.57421875" style="54" bestFit="1" customWidth="1"/>
    <col min="5" max="5" width="14.00390625" style="54" customWidth="1"/>
    <col min="6" max="16384" width="10.8515625" style="54" customWidth="1"/>
  </cols>
  <sheetData>
    <row r="1" spans="1:13" ht="1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15.75">
      <c r="A7" s="65" t="s">
        <v>23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15">
      <c r="A8" s="53"/>
      <c r="B8" s="53"/>
      <c r="C8" s="53"/>
      <c r="D8" s="53"/>
      <c r="E8" s="53"/>
      <c r="F8" s="53"/>
      <c r="G8" s="53">
        <f>E10/E9</f>
        <v>0.07482993197278912</v>
      </c>
      <c r="H8" s="53"/>
      <c r="I8" s="53"/>
      <c r="J8" s="53"/>
      <c r="K8" s="53"/>
      <c r="L8" s="53"/>
      <c r="M8" s="53"/>
    </row>
    <row r="9" spans="1:13" ht="15.75">
      <c r="A9" s="53" t="s">
        <v>27</v>
      </c>
      <c r="B9" s="53"/>
      <c r="C9" s="53"/>
      <c r="D9" s="53"/>
      <c r="E9" s="55">
        <f>SUM(C16:C25)</f>
        <v>1176</v>
      </c>
      <c r="F9" s="53"/>
      <c r="G9" s="53"/>
      <c r="H9" s="53"/>
      <c r="I9" s="53"/>
      <c r="J9" s="53"/>
      <c r="K9" s="53"/>
      <c r="L9" s="53"/>
      <c r="M9" s="53"/>
    </row>
    <row r="10" spans="1:13" ht="15.75">
      <c r="A10" s="53" t="s">
        <v>26</v>
      </c>
      <c r="B10" s="53"/>
      <c r="C10" s="53"/>
      <c r="D10" s="53"/>
      <c r="E10" s="55">
        <v>88</v>
      </c>
      <c r="F10" s="53"/>
      <c r="G10" s="53"/>
      <c r="H10" s="53"/>
      <c r="I10" s="53"/>
      <c r="J10" s="53"/>
      <c r="K10" s="53"/>
      <c r="L10" s="53"/>
      <c r="M10" s="53"/>
    </row>
    <row r="11" spans="1:13" ht="15.75">
      <c r="A11" s="53" t="s">
        <v>28</v>
      </c>
      <c r="B11" s="53"/>
      <c r="C11" s="53"/>
      <c r="D11" s="56"/>
      <c r="E11" s="55">
        <v>10</v>
      </c>
      <c r="F11" s="56"/>
      <c r="G11" s="53"/>
      <c r="H11" s="53"/>
      <c r="I11" s="53"/>
      <c r="J11" s="53"/>
      <c r="K11" s="53"/>
      <c r="L11" s="53"/>
      <c r="M11" s="53"/>
    </row>
    <row r="12" spans="1:13" ht="15">
      <c r="A12" s="53"/>
      <c r="B12" s="53"/>
      <c r="C12" s="53"/>
      <c r="D12" s="56"/>
      <c r="E12" s="56"/>
      <c r="F12" s="56"/>
      <c r="G12" s="53"/>
      <c r="H12" s="53"/>
      <c r="I12" s="53"/>
      <c r="J12" s="53"/>
      <c r="K12" s="53"/>
      <c r="L12" s="53"/>
      <c r="M12" s="53"/>
    </row>
    <row r="13" spans="1:13" ht="15">
      <c r="A13" s="53" t="s">
        <v>30</v>
      </c>
      <c r="B13" s="53"/>
      <c r="C13" s="53"/>
      <c r="D13" s="57">
        <f>IF(E11&gt;0,E10/E11,"(Fijar número estratos)")</f>
        <v>8.8</v>
      </c>
      <c r="E13" s="68" t="str">
        <f>IF(E11&gt;0,"sujetos","atos)")</f>
        <v>sujetos</v>
      </c>
      <c r="F13" s="53"/>
      <c r="G13" s="53"/>
      <c r="H13" s="53"/>
      <c r="I13" s="53"/>
      <c r="J13" s="53"/>
      <c r="K13" s="53"/>
      <c r="L13" s="53"/>
      <c r="M13" s="53"/>
    </row>
    <row r="14" spans="1:13" ht="1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ht="47.25">
      <c r="A15" s="60" t="s">
        <v>21</v>
      </c>
      <c r="B15" s="60" t="s">
        <v>22</v>
      </c>
      <c r="C15" s="61" t="s">
        <v>24</v>
      </c>
      <c r="D15" s="60" t="s">
        <v>25</v>
      </c>
      <c r="E15" s="61" t="s">
        <v>29</v>
      </c>
      <c r="F15" s="58"/>
      <c r="G15" s="58"/>
      <c r="H15" s="53"/>
      <c r="I15" s="53"/>
      <c r="J15" s="53"/>
      <c r="K15" s="53"/>
      <c r="L15" s="53"/>
      <c r="M15" s="53"/>
    </row>
    <row r="16" spans="1:13" ht="15.75">
      <c r="A16" s="57">
        <f>IF($E$11&gt;=1,1,"")</f>
        <v>1</v>
      </c>
      <c r="B16" s="71" t="s">
        <v>31</v>
      </c>
      <c r="C16" s="62">
        <v>53</v>
      </c>
      <c r="D16" s="66">
        <f>IF($E$11&gt;=1,C16/$E$9,"")</f>
        <v>0.045068027210884355</v>
      </c>
      <c r="E16" s="69">
        <f>IF($E$11&gt;=1,D16*$E$10,"")</f>
        <v>3.9659863945578233</v>
      </c>
      <c r="F16" s="53"/>
      <c r="G16" s="53"/>
      <c r="H16" s="53"/>
      <c r="I16" s="53"/>
      <c r="J16" s="53"/>
      <c r="K16" s="53"/>
      <c r="L16" s="53"/>
      <c r="M16" s="53"/>
    </row>
    <row r="17" spans="1:13" ht="15.75">
      <c r="A17" s="57">
        <f>IF($E$11&gt;=2,2,"")</f>
        <v>2</v>
      </c>
      <c r="B17" s="71" t="s">
        <v>32</v>
      </c>
      <c r="C17" s="62">
        <v>109</v>
      </c>
      <c r="D17" s="66">
        <f>IF($E$11&gt;=2,C17/$E$9,"")</f>
        <v>0.09268707482993198</v>
      </c>
      <c r="E17" s="69">
        <f>IF($E$11&gt;=2,D17*$E$10,"")</f>
        <v>8.156462585034014</v>
      </c>
      <c r="F17" s="53"/>
      <c r="G17" s="53"/>
      <c r="H17" s="53"/>
      <c r="I17" s="53"/>
      <c r="J17" s="53"/>
      <c r="K17" s="53"/>
      <c r="L17" s="53"/>
      <c r="M17" s="53"/>
    </row>
    <row r="18" spans="1:13" ht="15.75">
      <c r="A18" s="57">
        <f>IF($E$11&gt;=3,3,"")</f>
        <v>3</v>
      </c>
      <c r="B18" s="71" t="s">
        <v>33</v>
      </c>
      <c r="C18" s="62">
        <v>215</v>
      </c>
      <c r="D18" s="66">
        <f>IF($E$11&gt;=3,C18/$E$9,"")</f>
        <v>0.1828231292517007</v>
      </c>
      <c r="E18" s="69">
        <f>IF($E$11&gt;=3,D18*$E$10,"")</f>
        <v>16.08843537414966</v>
      </c>
      <c r="F18" s="53"/>
      <c r="G18" s="53"/>
      <c r="H18" s="53"/>
      <c r="I18" s="53"/>
      <c r="J18" s="53"/>
      <c r="K18" s="53"/>
      <c r="L18" s="53"/>
      <c r="M18" s="53"/>
    </row>
    <row r="19" spans="1:13" ht="15.75">
      <c r="A19" s="57">
        <f>IF($E$11&gt;=4,4,"")</f>
        <v>4</v>
      </c>
      <c r="B19" s="71" t="s">
        <v>34</v>
      </c>
      <c r="C19" s="62">
        <v>87</v>
      </c>
      <c r="D19" s="66">
        <f>IF($E$11&gt;=4,C19/$E$9,"")</f>
        <v>0.07397959183673469</v>
      </c>
      <c r="E19" s="69">
        <f>IF($E$11&gt;=4,D19*$E$10,"")</f>
        <v>6.5102040816326525</v>
      </c>
      <c r="F19" s="53"/>
      <c r="G19" s="53"/>
      <c r="H19" s="53"/>
      <c r="I19" s="53"/>
      <c r="J19" s="53"/>
      <c r="K19" s="53"/>
      <c r="L19" s="53"/>
      <c r="M19" s="53"/>
    </row>
    <row r="20" spans="1:13" ht="15.75">
      <c r="A20" s="57">
        <f>IF($E$11&gt;=5,5,"")</f>
        <v>5</v>
      </c>
      <c r="B20" s="71" t="s">
        <v>35</v>
      </c>
      <c r="C20" s="62">
        <v>98</v>
      </c>
      <c r="D20" s="66">
        <f>IF($E$11&gt;=5,C20/$E$9,"")</f>
        <v>0.08333333333333333</v>
      </c>
      <c r="E20" s="69">
        <f>IF($E$11&gt;=5,D20*$E$10,"")</f>
        <v>7.333333333333333</v>
      </c>
      <c r="F20" s="53"/>
      <c r="G20" s="53"/>
      <c r="H20" s="53"/>
      <c r="I20" s="53"/>
      <c r="J20" s="53"/>
      <c r="K20" s="53"/>
      <c r="L20" s="53"/>
      <c r="M20" s="53"/>
    </row>
    <row r="21" spans="1:13" ht="15.75">
      <c r="A21" s="57">
        <f>IF($E$11&gt;=6,6,"")</f>
        <v>6</v>
      </c>
      <c r="B21" s="71" t="s">
        <v>36</v>
      </c>
      <c r="C21" s="62">
        <v>110</v>
      </c>
      <c r="D21" s="66">
        <f>IF($E$11&gt;=6,C21/$E$9,"")</f>
        <v>0.0935374149659864</v>
      </c>
      <c r="E21" s="69">
        <f>IF($E$11&gt;=6,D21*$E$10,"")</f>
        <v>8.231292517006803</v>
      </c>
      <c r="F21" s="53"/>
      <c r="G21" s="53"/>
      <c r="H21" s="53"/>
      <c r="I21" s="53"/>
      <c r="J21" s="53"/>
      <c r="K21" s="53"/>
      <c r="L21" s="53"/>
      <c r="M21" s="53"/>
    </row>
    <row r="22" spans="1:13" ht="15.75">
      <c r="A22" s="57">
        <f>IF($E$11&gt;=7,7,"")</f>
        <v>7</v>
      </c>
      <c r="B22" s="71" t="s">
        <v>37</v>
      </c>
      <c r="C22" s="62">
        <v>81</v>
      </c>
      <c r="D22" s="66">
        <f>IF($E$11&gt;=7,C22/$E$9,"")</f>
        <v>0.06887755102040816</v>
      </c>
      <c r="E22" s="69">
        <f>IF($E$11&gt;=7,D22*$E$10,"")</f>
        <v>6.061224489795918</v>
      </c>
      <c r="F22" s="53"/>
      <c r="G22" s="53"/>
      <c r="H22" s="53"/>
      <c r="I22" s="53"/>
      <c r="J22" s="53"/>
      <c r="K22" s="53"/>
      <c r="L22" s="53"/>
      <c r="M22" s="53"/>
    </row>
    <row r="23" spans="1:13" ht="15.75">
      <c r="A23" s="57">
        <f>IF($E$11&gt;=8,8,"")</f>
        <v>8</v>
      </c>
      <c r="B23" s="71" t="s">
        <v>38</v>
      </c>
      <c r="C23" s="62">
        <v>221</v>
      </c>
      <c r="D23" s="66">
        <f>IF($E$11&gt;=8,C23/$E$9,"")</f>
        <v>0.1879251700680272</v>
      </c>
      <c r="E23" s="69">
        <f>IF($E$11&gt;=8,D23*$E$10,"")</f>
        <v>16.537414965986393</v>
      </c>
      <c r="F23" s="53"/>
      <c r="G23" s="53"/>
      <c r="H23" s="53"/>
      <c r="I23" s="53"/>
      <c r="J23" s="53"/>
      <c r="K23" s="53"/>
      <c r="L23" s="53"/>
      <c r="M23" s="53"/>
    </row>
    <row r="24" spans="1:13" ht="15.75">
      <c r="A24" s="57">
        <f>IF($E$11&gt;=9,9,"")</f>
        <v>9</v>
      </c>
      <c r="B24" s="71" t="s">
        <v>39</v>
      </c>
      <c r="C24" s="62">
        <v>151</v>
      </c>
      <c r="D24" s="66">
        <f>IF($E$11&gt;=9,C24/$E$9,"")</f>
        <v>0.1284013605442177</v>
      </c>
      <c r="E24" s="69">
        <f>IF($E$11&gt;=9,D24*$E$10,"")</f>
        <v>11.299319727891156</v>
      </c>
      <c r="F24" s="53"/>
      <c r="G24" s="53"/>
      <c r="H24" s="53"/>
      <c r="I24" s="53"/>
      <c r="J24" s="53"/>
      <c r="K24" s="53"/>
      <c r="L24" s="53"/>
      <c r="M24" s="53"/>
    </row>
    <row r="25" spans="1:13" ht="16.5" thickBot="1">
      <c r="A25" s="59">
        <f>IF($E$11&gt;=10,10,"")</f>
        <v>10</v>
      </c>
      <c r="B25" s="71" t="s">
        <v>40</v>
      </c>
      <c r="C25" s="63">
        <v>51</v>
      </c>
      <c r="D25" s="67">
        <f>IF($E$11&gt;=10,C25/$E$9,"")</f>
        <v>0.04336734693877551</v>
      </c>
      <c r="E25" s="70">
        <f>IF($E$11&gt;=10,D25*$E$10,"")</f>
        <v>3.816326530612245</v>
      </c>
      <c r="F25" s="53"/>
      <c r="G25" s="53"/>
      <c r="H25" s="53"/>
      <c r="I25" s="53"/>
      <c r="J25" s="53"/>
      <c r="K25" s="53"/>
      <c r="L25" s="53"/>
      <c r="M25" s="53"/>
    </row>
    <row r="26" spans="1:13" ht="15">
      <c r="A26" s="53"/>
      <c r="B26" s="53"/>
      <c r="C26" s="64" t="str">
        <f>IF(SUM(C16:C25)=E9,"Correcto","Revise nº sujetos en estratos")</f>
        <v>Correcto</v>
      </c>
      <c r="D26" s="66">
        <f>SUM(D16:D25)</f>
        <v>1</v>
      </c>
      <c r="E26" s="69">
        <f>SUM(E16:E25)</f>
        <v>88</v>
      </c>
      <c r="F26" s="53"/>
      <c r="G26" s="53"/>
      <c r="H26" s="53"/>
      <c r="I26" s="53"/>
      <c r="J26" s="53"/>
      <c r="K26" s="53"/>
      <c r="L26" s="53"/>
      <c r="M26" s="53"/>
    </row>
    <row r="27" spans="1:13" ht="1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ht="15">
      <c r="A28" s="56"/>
      <c r="B28" s="56"/>
      <c r="C28" s="56"/>
      <c r="D28" s="56"/>
      <c r="E28" s="56"/>
      <c r="F28" s="53"/>
      <c r="G28" s="53"/>
      <c r="H28" s="53"/>
      <c r="I28" s="53"/>
      <c r="J28" s="53"/>
      <c r="K28" s="53"/>
      <c r="L28" s="53"/>
      <c r="M28" s="53"/>
    </row>
    <row r="29" spans="1:13" ht="15">
      <c r="A29" s="35"/>
      <c r="C29" s="36" t="s">
        <v>3</v>
      </c>
      <c r="D29" s="56"/>
      <c r="E29" s="56"/>
      <c r="F29" s="53"/>
      <c r="G29" s="53"/>
      <c r="H29" s="53"/>
      <c r="I29" s="53"/>
      <c r="J29" s="53"/>
      <c r="K29" s="53"/>
      <c r="L29" s="53"/>
      <c r="M29" s="53"/>
    </row>
    <row r="30" spans="1:13" ht="15">
      <c r="A30" s="56"/>
      <c r="B30" s="56"/>
      <c r="C30" s="56"/>
      <c r="D30" s="56"/>
      <c r="E30" s="56"/>
      <c r="F30" s="53"/>
      <c r="G30" s="53"/>
      <c r="H30" s="53"/>
      <c r="I30" s="53"/>
      <c r="J30" s="53"/>
      <c r="K30" s="53"/>
      <c r="L30" s="53"/>
      <c r="M30" s="53"/>
    </row>
    <row r="31" spans="1:13" ht="1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ht="1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1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ht="1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1:13" ht="1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ht="1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1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ht="1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13" ht="1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3" ht="1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1:13" ht="1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1:13" ht="1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3" ht="1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1:13" ht="1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1:13" ht="1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1:13" ht="1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1:13" ht="1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1:13" ht="1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1:13" ht="1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ht="1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ht="1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1:13" ht="1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1:13" ht="1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1:13" ht="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</row>
    <row r="58" spans="1:13" ht="1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1:13" ht="1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 ht="1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</sheetData>
  <sheetProtection password="F209" sheet="1" formatCells="0" formatColumns="0" formatRows="0" insertColumns="0" insertRows="0" insertHyperlinks="0" deleteColumns="0" deleteRows="0" sort="0" autoFilter="0" pivotTables="0"/>
  <hyperlinks>
    <hyperlink ref="C29" location="INDICE!A1" display="INDICE!A1"/>
  </hyperlinks>
  <printOptions/>
  <pageMargins left="0.75" right="0.75" top="1" bottom="1" header="0.5" footer="0.5"/>
  <pageSetup orientation="portrait" paperSize="9"/>
  <ignoredErrors>
    <ignoredError sqref="E17" formula="1"/>
    <ignoredError sqref="D17:D19 D20:D25 D16" emptyCellReferenc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H10" sqref="H10"/>
    </sheetView>
  </sheetViews>
  <sheetFormatPr defaultColWidth="11.421875" defaultRowHeight="12.75"/>
  <cols>
    <col min="1" max="1" width="4.140625" style="0" customWidth="1"/>
    <col min="2" max="2" width="18.00390625" style="0" customWidth="1"/>
    <col min="5" max="5" width="13.57421875" style="0" bestFit="1" customWidth="1"/>
    <col min="6" max="6" width="13.7109375" style="0" customWidth="1"/>
  </cols>
  <sheetData>
    <row r="1" spans="1:6" ht="12.75">
      <c r="A1" s="85"/>
      <c r="B1" s="85"/>
      <c r="C1" s="85"/>
      <c r="D1" s="85"/>
      <c r="E1" s="85"/>
      <c r="F1" s="85"/>
    </row>
    <row r="2" spans="1:6" ht="12.75">
      <c r="A2" s="85"/>
      <c r="B2" s="85"/>
      <c r="C2" s="85"/>
      <c r="D2" s="85"/>
      <c r="E2" s="85"/>
      <c r="F2" s="85"/>
    </row>
    <row r="3" spans="1:6" ht="12.75">
      <c r="A3" s="85"/>
      <c r="B3" s="85"/>
      <c r="C3" s="85"/>
      <c r="D3" s="85"/>
      <c r="E3" s="85"/>
      <c r="F3" s="85"/>
    </row>
    <row r="4" spans="1:6" ht="12.75">
      <c r="A4" s="85"/>
      <c r="B4" s="85"/>
      <c r="C4" s="85"/>
      <c r="D4" s="85"/>
      <c r="E4" s="85"/>
      <c r="F4" s="85"/>
    </row>
    <row r="5" spans="1:6" ht="12.75">
      <c r="A5" s="85"/>
      <c r="B5" s="85"/>
      <c r="C5" s="85"/>
      <c r="D5" s="85"/>
      <c r="E5" s="85"/>
      <c r="F5" s="85"/>
    </row>
    <row r="6" spans="1:6" ht="12.75">
      <c r="A6" s="85"/>
      <c r="B6" s="85"/>
      <c r="C6" s="85"/>
      <c r="D6" s="85"/>
      <c r="E6" s="85"/>
      <c r="F6" s="85"/>
    </row>
    <row r="7" spans="2:3" ht="12.75">
      <c r="B7" t="s">
        <v>41</v>
      </c>
      <c r="C7" s="90">
        <v>1200</v>
      </c>
    </row>
    <row r="8" spans="2:6" ht="12.75">
      <c r="B8" s="94" t="s">
        <v>42</v>
      </c>
      <c r="C8" s="95" t="s">
        <v>43</v>
      </c>
      <c r="D8" s="95"/>
      <c r="E8" s="96" t="s">
        <v>44</v>
      </c>
      <c r="F8" s="96"/>
    </row>
    <row r="9" spans="2:6" ht="12.75">
      <c r="B9" s="94"/>
      <c r="C9" s="92" t="s">
        <v>45</v>
      </c>
      <c r="D9" s="92" t="s">
        <v>46</v>
      </c>
      <c r="E9" s="92" t="s">
        <v>45</v>
      </c>
      <c r="F9" s="92" t="s">
        <v>46</v>
      </c>
    </row>
    <row r="10" spans="2:6" ht="12.75">
      <c r="B10" t="s">
        <v>47</v>
      </c>
      <c r="C10" s="90">
        <v>20000</v>
      </c>
      <c r="D10" s="86">
        <f>(C10/$C$14)</f>
        <v>0.28901734104046245</v>
      </c>
      <c r="E10" s="87">
        <f>D10*$C$7</f>
        <v>346.82080924855495</v>
      </c>
      <c r="F10" s="86">
        <f>E10/$E$14</f>
        <v>0.28901734104046245</v>
      </c>
    </row>
    <row r="11" spans="2:6" ht="12.75">
      <c r="B11" t="s">
        <v>48</v>
      </c>
      <c r="C11" s="90">
        <v>1200</v>
      </c>
      <c r="D11" s="86">
        <f>(C11/$C$14)</f>
        <v>0.017341040462427744</v>
      </c>
      <c r="E11" s="87">
        <f>D11*$C$7</f>
        <v>20.809248554913292</v>
      </c>
      <c r="F11" s="86">
        <f>E11/$E$14</f>
        <v>0.017341040462427744</v>
      </c>
    </row>
    <row r="12" spans="2:6" ht="12.75">
      <c r="B12" t="s">
        <v>49</v>
      </c>
      <c r="C12" s="90">
        <v>15000</v>
      </c>
      <c r="D12" s="86">
        <f>(C12/$C$14)</f>
        <v>0.21676300578034682</v>
      </c>
      <c r="E12" s="87">
        <f>D12*$C$7</f>
        <v>260.1156069364162</v>
      </c>
      <c r="F12" s="86">
        <f>E12/$E$14</f>
        <v>0.21676300578034685</v>
      </c>
    </row>
    <row r="13" spans="2:6" ht="12.75">
      <c r="B13" t="s">
        <v>50</v>
      </c>
      <c r="C13" s="90">
        <v>33000</v>
      </c>
      <c r="D13" s="86">
        <f>(C13/$C$14)</f>
        <v>0.476878612716763</v>
      </c>
      <c r="E13" s="87">
        <f>D13*$C$7</f>
        <v>572.2543352601156</v>
      </c>
      <c r="F13" s="86">
        <f>E13/$E$14</f>
        <v>0.47687861271676296</v>
      </c>
    </row>
    <row r="14" spans="2:5" ht="12.75">
      <c r="B14" s="92" t="s">
        <v>51</v>
      </c>
      <c r="C14" s="92">
        <f>SUM(C10:C13)</f>
        <v>69200</v>
      </c>
      <c r="D14" s="92"/>
      <c r="E14" s="93">
        <f>SUM(E10:E13)</f>
        <v>1200</v>
      </c>
    </row>
    <row r="15" ht="12.75">
      <c r="E15" s="88"/>
    </row>
    <row r="17" spans="2:3" ht="12.75">
      <c r="B17" t="s">
        <v>41</v>
      </c>
      <c r="C17" s="89">
        <v>1200</v>
      </c>
    </row>
    <row r="18" spans="2:6" ht="12.75">
      <c r="B18" s="94" t="s">
        <v>42</v>
      </c>
      <c r="C18" s="95" t="s">
        <v>43</v>
      </c>
      <c r="D18" s="95"/>
      <c r="E18" s="96" t="s">
        <v>44</v>
      </c>
      <c r="F18" s="96"/>
    </row>
    <row r="19" spans="2:6" ht="12.75">
      <c r="B19" s="94"/>
      <c r="C19" s="92" t="s">
        <v>45</v>
      </c>
      <c r="D19" s="92" t="s">
        <v>46</v>
      </c>
      <c r="E19" s="92" t="s">
        <v>45</v>
      </c>
      <c r="F19" s="92" t="s">
        <v>46</v>
      </c>
    </row>
    <row r="20" spans="2:6" ht="12.75">
      <c r="B20" t="s">
        <v>47</v>
      </c>
      <c r="C20" s="90">
        <v>20000</v>
      </c>
      <c r="D20" s="86">
        <f>(C20/$C$14)</f>
        <v>0.28901734104046245</v>
      </c>
      <c r="E20" s="91">
        <v>300</v>
      </c>
      <c r="F20" s="86">
        <f>E20/$E$14</f>
        <v>0.25</v>
      </c>
    </row>
    <row r="21" spans="2:6" ht="12.75">
      <c r="B21" t="s">
        <v>48</v>
      </c>
      <c r="C21" s="90">
        <v>1200</v>
      </c>
      <c r="D21" s="86">
        <f>(C21/$C$14)</f>
        <v>0.017341040462427744</v>
      </c>
      <c r="E21" s="91">
        <v>100</v>
      </c>
      <c r="F21" s="86">
        <f>E21/$E$14</f>
        <v>0.08333333333333333</v>
      </c>
    </row>
    <row r="22" spans="2:6" ht="12.75">
      <c r="B22" t="s">
        <v>49</v>
      </c>
      <c r="C22" s="90">
        <v>15000</v>
      </c>
      <c r="D22" s="86">
        <f>(C22/$C$14)</f>
        <v>0.21676300578034682</v>
      </c>
      <c r="E22" s="91">
        <v>200</v>
      </c>
      <c r="F22" s="86">
        <f>E22/$E$14</f>
        <v>0.16666666666666666</v>
      </c>
    </row>
    <row r="23" spans="2:6" ht="12.75">
      <c r="B23" t="s">
        <v>50</v>
      </c>
      <c r="C23" s="90">
        <v>33000</v>
      </c>
      <c r="D23" s="86">
        <f>(C23/$C$14)</f>
        <v>0.476878612716763</v>
      </c>
      <c r="E23" s="91">
        <v>600</v>
      </c>
      <c r="F23" s="86">
        <f>E23/$E$14</f>
        <v>0.5</v>
      </c>
    </row>
    <row r="24" spans="2:5" ht="12.75">
      <c r="B24" t="s">
        <v>51</v>
      </c>
      <c r="C24">
        <f>SUM(C20:C23)</f>
        <v>69200</v>
      </c>
      <c r="E24" s="87">
        <f>SUM(E20:E23)</f>
        <v>1200</v>
      </c>
    </row>
  </sheetData>
  <sheetProtection/>
  <mergeCells count="7">
    <mergeCell ref="A1:F6"/>
    <mergeCell ref="B8:B9"/>
    <mergeCell ref="C8:D8"/>
    <mergeCell ref="E8:F8"/>
    <mergeCell ref="B18:B19"/>
    <mergeCell ref="C18:D18"/>
    <mergeCell ref="E18:F1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Brenlla Martínez</dc:creator>
  <cp:keywords/>
  <dc:description/>
  <cp:lastModifiedBy>Usuario</cp:lastModifiedBy>
  <dcterms:created xsi:type="dcterms:W3CDTF">1997-05-21T08:29:45Z</dcterms:created>
  <dcterms:modified xsi:type="dcterms:W3CDTF">2019-08-24T15:58:22Z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